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_2021 06 10 ОМ Приложения\"/>
    </mc:Choice>
  </mc:AlternateContent>
  <bookViews>
    <workbookView xWindow="0" yWindow="0" windowWidth="25200" windowHeight="11250"/>
  </bookViews>
  <sheets>
    <sheet name="Прилож. к Протоколу (лист А3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37" i="1" l="1"/>
  <c r="F36" i="1"/>
  <c r="F37" i="1" s="1"/>
  <c r="G36" i="1"/>
  <c r="G37" i="1" s="1"/>
  <c r="H36" i="1"/>
  <c r="H37" i="1" s="1"/>
  <c r="I36" i="1"/>
  <c r="I37" i="1" s="1"/>
  <c r="J36" i="1"/>
  <c r="J37" i="1" s="1"/>
  <c r="K36" i="1"/>
  <c r="K37" i="1" s="1"/>
  <c r="L36" i="1"/>
  <c r="L37" i="1" s="1"/>
  <c r="M36" i="1"/>
  <c r="M37" i="1" s="1"/>
  <c r="N36" i="1"/>
  <c r="N37" i="1" s="1"/>
  <c r="O36" i="1"/>
  <c r="O37" i="1" s="1"/>
  <c r="E36" i="1"/>
  <c r="E37" i="1" s="1"/>
  <c r="N30" i="1"/>
  <c r="O30" i="1"/>
  <c r="M30" i="1"/>
  <c r="E30" i="1"/>
  <c r="F30" i="1"/>
  <c r="G30" i="1"/>
  <c r="H30" i="1"/>
  <c r="I30" i="1"/>
  <c r="J30" i="1"/>
  <c r="K30" i="1"/>
  <c r="D30" i="1"/>
  <c r="N27" i="1"/>
  <c r="O27" i="1"/>
  <c r="M27" i="1"/>
  <c r="E27" i="1"/>
  <c r="F27" i="1"/>
  <c r="G27" i="1"/>
  <c r="H27" i="1"/>
  <c r="I27" i="1"/>
  <c r="J27" i="1"/>
  <c r="K27" i="1"/>
  <c r="D27" i="1"/>
  <c r="N24" i="1"/>
  <c r="O24" i="1"/>
  <c r="G24" i="1"/>
  <c r="D24" i="1"/>
  <c r="J21" i="1"/>
  <c r="K21" i="1"/>
  <c r="L21" i="1"/>
  <c r="M21" i="1"/>
  <c r="N21" i="1"/>
  <c r="O21" i="1"/>
  <c r="I21" i="1"/>
  <c r="E21" i="1"/>
  <c r="F21" i="1"/>
  <c r="G21" i="1"/>
  <c r="D21" i="1"/>
  <c r="M18" i="1"/>
  <c r="N18" i="1"/>
  <c r="O18" i="1"/>
  <c r="L18" i="1"/>
  <c r="E18" i="1"/>
  <c r="F18" i="1"/>
  <c r="G18" i="1"/>
  <c r="H18" i="1"/>
  <c r="I18" i="1"/>
  <c r="J18" i="1"/>
  <c r="D18" i="1"/>
  <c r="I15" i="1"/>
  <c r="J15" i="1"/>
  <c r="K15" i="1"/>
  <c r="L15" i="1"/>
  <c r="M15" i="1"/>
  <c r="N15" i="1"/>
  <c r="O15" i="1"/>
  <c r="H15" i="1"/>
  <c r="F15" i="1"/>
  <c r="D15" i="1"/>
  <c r="M23" i="1"/>
  <c r="M24" i="1" s="1"/>
  <c r="M9" i="1"/>
  <c r="L23" i="1"/>
  <c r="L24" i="1" s="1"/>
  <c r="K23" i="1"/>
  <c r="K24" i="1" s="1"/>
  <c r="J23" i="1"/>
  <c r="J24" i="1" s="1"/>
  <c r="I23" i="1"/>
  <c r="I24" i="1" s="1"/>
  <c r="H23" i="1"/>
  <c r="H24" i="1" s="1"/>
  <c r="G9" i="1"/>
  <c r="E23" i="1"/>
  <c r="E24" i="1" s="1"/>
  <c r="M11" i="1" l="1"/>
  <c r="N11" i="1"/>
  <c r="O11" i="1"/>
  <c r="M16" i="1"/>
  <c r="N16" i="1"/>
  <c r="O16" i="1"/>
  <c r="M19" i="1"/>
  <c r="N19" i="1"/>
  <c r="O19" i="1"/>
  <c r="M22" i="1"/>
  <c r="N22" i="1"/>
  <c r="O22" i="1"/>
  <c r="M25" i="1"/>
  <c r="N25" i="1"/>
  <c r="O25" i="1"/>
  <c r="M28" i="1"/>
  <c r="N28" i="1"/>
  <c r="O28" i="1"/>
  <c r="M31" i="1"/>
  <c r="N31" i="1"/>
  <c r="O31" i="1"/>
  <c r="M34" i="1"/>
  <c r="N34" i="1"/>
  <c r="O34" i="1"/>
  <c r="E11" i="1"/>
  <c r="F11" i="1"/>
  <c r="G11" i="1"/>
  <c r="H11" i="1"/>
  <c r="I11" i="1"/>
  <c r="J11" i="1"/>
  <c r="K11" i="1"/>
  <c r="L11" i="1"/>
  <c r="D11" i="1"/>
  <c r="E34" i="1"/>
  <c r="L34" i="1"/>
  <c r="K34" i="1"/>
  <c r="J34" i="1"/>
  <c r="I34" i="1"/>
  <c r="H34" i="1"/>
  <c r="G34" i="1"/>
  <c r="F34" i="1"/>
  <c r="D34" i="1"/>
  <c r="L31" i="1"/>
  <c r="K31" i="1"/>
  <c r="J31" i="1"/>
  <c r="I31" i="1"/>
  <c r="H31" i="1"/>
  <c r="G31" i="1"/>
  <c r="F31" i="1"/>
  <c r="E31" i="1"/>
  <c r="D31" i="1"/>
  <c r="L28" i="1"/>
  <c r="K28" i="1"/>
  <c r="J28" i="1"/>
  <c r="I28" i="1"/>
  <c r="H28" i="1"/>
  <c r="G28" i="1"/>
  <c r="F28" i="1"/>
  <c r="E28" i="1"/>
  <c r="D28" i="1"/>
  <c r="L25" i="1"/>
  <c r="K25" i="1"/>
  <c r="J25" i="1"/>
  <c r="I25" i="1"/>
  <c r="H25" i="1"/>
  <c r="G25" i="1"/>
  <c r="F25" i="1"/>
  <c r="E25" i="1"/>
  <c r="D25" i="1"/>
  <c r="L22" i="1"/>
  <c r="K22" i="1"/>
  <c r="J22" i="1"/>
  <c r="I22" i="1"/>
  <c r="H22" i="1"/>
  <c r="G22" i="1"/>
  <c r="F22" i="1"/>
  <c r="E22" i="1"/>
  <c r="D22" i="1"/>
  <c r="E19" i="1"/>
  <c r="F19" i="1"/>
  <c r="G19" i="1"/>
  <c r="H19" i="1"/>
  <c r="I19" i="1"/>
  <c r="J19" i="1"/>
  <c r="K19" i="1"/>
  <c r="L19" i="1"/>
  <c r="D19" i="1"/>
  <c r="E16" i="1"/>
  <c r="F16" i="1"/>
  <c r="G16" i="1"/>
  <c r="H16" i="1"/>
  <c r="I16" i="1"/>
  <c r="J16" i="1"/>
  <c r="K16" i="1"/>
  <c r="L16" i="1"/>
  <c r="D16" i="1"/>
  <c r="D13" i="1"/>
  <c r="I12" i="1" l="1"/>
  <c r="I13" i="1" s="1"/>
  <c r="I38" i="1" s="1"/>
  <c r="M12" i="1"/>
  <c r="M13" i="1" s="1"/>
  <c r="M38" i="1" s="1"/>
  <c r="F12" i="1"/>
  <c r="F13" i="1" s="1"/>
  <c r="F38" i="1" s="1"/>
  <c r="J12" i="1"/>
  <c r="J13" i="1" s="1"/>
  <c r="J38" i="1" s="1"/>
  <c r="O12" i="1"/>
  <c r="O13" i="1" s="1"/>
  <c r="O38" i="1" s="1"/>
  <c r="G12" i="1"/>
  <c r="G13" i="1" s="1"/>
  <c r="G38" i="1" s="1"/>
  <c r="K12" i="1"/>
  <c r="K13" i="1" s="1"/>
  <c r="K38" i="1" s="1"/>
  <c r="E12" i="1"/>
  <c r="E13" i="1" s="1"/>
  <c r="E38" i="1" s="1"/>
  <c r="L12" i="1"/>
  <c r="L13" i="1" s="1"/>
  <c r="L38" i="1" s="1"/>
  <c r="H12" i="1"/>
  <c r="H13" i="1" s="1"/>
  <c r="H38" i="1" s="1"/>
  <c r="N12" i="1"/>
  <c r="N13" i="1" s="1"/>
  <c r="N38" i="1" s="1"/>
  <c r="D38" i="1"/>
</calcChain>
</file>

<file path=xl/sharedStrings.xml><?xml version="1.0" encoding="utf-8"?>
<sst xmlns="http://schemas.openxmlformats.org/spreadsheetml/2006/main" count="98" uniqueCount="72">
  <si>
    <t>Сопоставление заявок Участников по закупке 32110320956</t>
  </si>
  <si>
    <t>Критерий</t>
  </si>
  <si>
    <t>Участники</t>
  </si>
  <si>
    <t>Баллы</t>
  </si>
  <si>
    <t>Цена с учётом срока оплаты</t>
  </si>
  <si>
    <t>Баллы с учётом значимости (50%)</t>
  </si>
  <si>
    <t>Срок сдачи работ</t>
  </si>
  <si>
    <t>Цена, руб.</t>
  </si>
  <si>
    <t>Срок оплаты, дней</t>
  </si>
  <si>
    <t>Ставка ЦБ, % годовых</t>
  </si>
  <si>
    <t>Цена с учётом срока, руб</t>
  </si>
  <si>
    <t>Баллы с учётом значимости (15%)</t>
  </si>
  <si>
    <t>Баллы (160 дней = 0 баллов)</t>
  </si>
  <si>
    <t>Опыт разработки</t>
  </si>
  <si>
    <t>Сумма, руб (не менее 30% от НМЦ)</t>
  </si>
  <si>
    <t>Баллы с учётом значимости (5%)</t>
  </si>
  <si>
    <t>Количество реализованных приложений за 3 года</t>
  </si>
  <si>
    <t>Единиц</t>
  </si>
  <si>
    <t xml:space="preserve">Средняя оценка в баллах разработанных мобильных приложений AppStore и PlayMarket </t>
  </si>
  <si>
    <t>Оценка</t>
  </si>
  <si>
    <t>Количество специалистов</t>
  </si>
  <si>
    <t>Чел.</t>
  </si>
  <si>
    <t>Средний опыт работы специалистов</t>
  </si>
  <si>
    <t>Лет</t>
  </si>
  <si>
    <t>Тип</t>
  </si>
  <si>
    <t>Срок подготовки и направления Заказчику требований к API – файлам</t>
  </si>
  <si>
    <t>Дней</t>
  </si>
  <si>
    <t>ИТОГО баллов с учётом значимости каждого критерия</t>
  </si>
  <si>
    <t>№ п.п.</t>
  </si>
  <si>
    <t>Расчёт баллов</t>
  </si>
  <si>
    <t>Минимальному значению критерия начисляется количество баллов = 100. Всем остальным – пропорционально минимальному.</t>
  </si>
  <si>
    <t xml:space="preserve">Минимальному значению критерия начисляется количество баллов = 100. Срок окончательной сдачи работ не может быть более 160 календарных дней с даты заключения договора. При этом по данному критерию начисляется количество баллов = 0. Всем остальным предложениям количество баллов начисляется пропорционально указанному интервалу (от минимального до 160 к.д.).
</t>
  </si>
  <si>
    <t>Максимальному значению критерия начисляется количество баллов = 100. Всем остальным – пропорционально максимальному.</t>
  </si>
  <si>
    <t xml:space="preserve">Для кроссплатформ Flutter и React Native начисляется количество баллов = 100;
Для иных кроссплатформ начисляется количество баллов = 10.
</t>
  </si>
  <si>
    <t>Flutter</t>
  </si>
  <si>
    <t>Количество дней (с 01.07.)</t>
  </si>
  <si>
    <t>Сумма баллов с учётом значимости каждого</t>
  </si>
  <si>
    <t>ИП Божок О.О.</t>
  </si>
  <si>
    <t>ИП Богаткин В.А.</t>
  </si>
  <si>
    <t>Тип кроссплатформы</t>
  </si>
  <si>
    <t>Ранг (место) по итогам закупки</t>
  </si>
  <si>
    <r>
      <t xml:space="preserve">Максимальному значению критерия начисляется количество баллов = 100. Всем остальным – пропорционально максимальному.
</t>
    </r>
    <r>
      <rPr>
        <b/>
        <sz val="8"/>
        <color rgb="FFC00000"/>
        <rFont val="Calibri"/>
        <family val="2"/>
        <charset val="204"/>
        <scheme val="minor"/>
      </rPr>
      <t>Подтверждённый опыт (критерии № 3, 4, 7) должен быть на сумму не менее 30% от начальной (максимальной) цены договора, указанной в настоящей Документации.</t>
    </r>
  </si>
  <si>
    <r>
      <t xml:space="preserve">Максимальному значению критерия начисляется количество баллов = 100. Всем остальным – пропорционально максимальному.
</t>
    </r>
    <r>
      <rPr>
        <b/>
        <sz val="8"/>
        <color rgb="FFC00000"/>
        <rFont val="Calibri"/>
        <family val="2"/>
        <charset val="204"/>
        <scheme val="minor"/>
      </rPr>
      <t>Подтверждённый опыт (критерии № 3, 4, 7) должен быть на сумму не менее 30% от начальной (максимальной) цены договора, указанной в настоящей Документации</t>
    </r>
  </si>
  <si>
    <t>ООО "2ЦЕНТР"</t>
  </si>
  <si>
    <t>ООО "РИК МАСТЕРС"</t>
  </si>
  <si>
    <t>ООО "МЭД БРЕЙНС"</t>
  </si>
  <si>
    <t>ООО "ОРБСОФТ"</t>
  </si>
  <si>
    <t>ООО "ОТКРЫТЫЕ РЕШЕНИЯ"</t>
  </si>
  <si>
    <t>ООО "СИБЕРИАН.ПРО"</t>
  </si>
  <si>
    <t>ООО ГК "ИНФОПРО"</t>
  </si>
  <si>
    <t>ООО "СЕНЛА"</t>
  </si>
  <si>
    <t>Примечания:</t>
  </si>
  <si>
    <t>1.</t>
  </si>
  <si>
    <t>ООО "2Центр"</t>
  </si>
  <si>
    <t>1.1. Поскольку подтверждённый опыт (критерии № 3, 4, 7) должен быть на сумму не менее 30% от начальной (максимальной) цены договора, указанной в  Документации (т.е. на сумму не менее 1 710 000 рублей), а Участник подтвердил только на сумму 640 000 рублей, то критерии 3,4,7 являются не достигшими оценочного значения. Значение критерия принимается равным "0".
1.2. Средняя оценка в баллах принята по данным проверки оценок. Оценки есть только по одному из приложений. по приложениям без оценок принято значение "0".</t>
  </si>
  <si>
    <t>ООО "ХИПЛАБС"</t>
  </si>
  <si>
    <t>2.</t>
  </si>
  <si>
    <t>2.1. Заявлена предоплата 50% при сроке выполнения работ 6 месяцев. Поэтому срок оплаты рассчитан с отрицательным значением, влияющим на начисляемые баллы негативно.
2.2. По критерию "Срок сдачи работ" минимальное значение критерия (0) присваивается при сроке 160 дней и более. Поэтому в формулу расчёта (для её корректности) поставлено значение "160".</t>
  </si>
  <si>
    <t>3.</t>
  </si>
  <si>
    <t>ИП Богаткин</t>
  </si>
  <si>
    <t>3.1.  Заявлена предоплата 30% при сроке выполнения работ 5 месяцев. Поэтому срок оплаты рассчитан с отрицательным значением, влияющим на начисляемые баллы негативно.</t>
  </si>
  <si>
    <t>4.</t>
  </si>
  <si>
    <t>4.1. Предложение Участника закупки не содержит информации о значениях оценочных критериев, кроме цены. Средствами ЭТП Участнику закупки был направлен дозапрос документов, на который Участник не ответил. Поэтому каждому критерию (кроме цены) присвоено значение с минимально возможным количеством баллов.</t>
  </si>
  <si>
    <t>Приложение</t>
  </si>
  <si>
    <t>к Протоколу по анализу предложений</t>
  </si>
  <si>
    <t>№ 32110320956</t>
  </si>
  <si>
    <t>Секретарь Закупочной комиссии</t>
  </si>
  <si>
    <t>А.Г. Хрущёв</t>
  </si>
  <si>
    <t>React Native</t>
  </si>
  <si>
    <t>Flutter, React Native</t>
  </si>
  <si>
    <t>-</t>
  </si>
  <si>
    <t>ООО "АЙТИ ТЕСТ"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</si>
</sst>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rgb="FFC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0" fillId="3" borderId="23" xfId="0" applyFill="1" applyBorder="1"/>
    <xf numFmtId="0" fontId="0" fillId="3" borderId="20" xfId="0" applyFill="1" applyBorder="1"/>
    <xf numFmtId="0" fontId="3" fillId="0" borderId="1" xfId="0" applyFont="1" applyBorder="1"/>
    <xf numFmtId="0" fontId="1" fillId="2" borderId="26" xfId="0" applyFont="1" applyFill="1" applyBorder="1"/>
    <xf numFmtId="0" fontId="1" fillId="2" borderId="27" xfId="0" applyFont="1" applyFill="1" applyBorder="1"/>
    <xf numFmtId="0" fontId="1" fillId="2" borderId="29" xfId="0" applyFont="1" applyFill="1" applyBorder="1"/>
    <xf numFmtId="0" fontId="2" fillId="0" borderId="11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2" borderId="26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5" fillId="0" borderId="0" xfId="0" applyFont="1"/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0" borderId="20" xfId="0" applyFont="1" applyFill="1" applyBorder="1" applyAlignment="1">
      <alignment wrapText="1"/>
    </xf>
    <xf numFmtId="0" fontId="7" fillId="0" borderId="12" xfId="0" applyFont="1" applyBorder="1" applyAlignment="1">
      <alignment wrapText="1"/>
    </xf>
    <xf numFmtId="4" fontId="8" fillId="0" borderId="2" xfId="0" applyNumberFormat="1" applyFont="1" applyBorder="1"/>
    <xf numFmtId="4" fontId="8" fillId="0" borderId="3" xfId="0" applyNumberFormat="1" applyFont="1" applyBorder="1"/>
    <xf numFmtId="4" fontId="8" fillId="0" borderId="19" xfId="0" applyNumberFormat="1" applyFont="1" applyBorder="1"/>
    <xf numFmtId="4" fontId="8" fillId="0" borderId="4" xfId="0" applyNumberFormat="1" applyFont="1" applyBorder="1"/>
    <xf numFmtId="0" fontId="6" fillId="0" borderId="5" xfId="0" applyFont="1" applyBorder="1"/>
    <xf numFmtId="0" fontId="6" fillId="0" borderId="1" xfId="0" applyFont="1" applyBorder="1"/>
    <xf numFmtId="0" fontId="6" fillId="0" borderId="21" xfId="0" applyFont="1" applyBorder="1"/>
    <xf numFmtId="0" fontId="6" fillId="0" borderId="21" xfId="0" applyFont="1" applyFill="1" applyBorder="1"/>
    <xf numFmtId="0" fontId="6" fillId="0" borderId="6" xfId="0" applyFont="1" applyBorder="1"/>
    <xf numFmtId="4" fontId="8" fillId="4" borderId="5" xfId="0" applyNumberFormat="1" applyFont="1" applyFill="1" applyBorder="1"/>
    <xf numFmtId="4" fontId="8" fillId="0" borderId="1" xfId="0" applyNumberFormat="1" applyFont="1" applyBorder="1"/>
    <xf numFmtId="4" fontId="8" fillId="0" borderId="6" xfId="0" applyNumberFormat="1" applyFont="1" applyBorder="1"/>
    <xf numFmtId="0" fontId="6" fillId="3" borderId="7" xfId="0" applyFont="1" applyFill="1" applyBorder="1"/>
    <xf numFmtId="0" fontId="6" fillId="3" borderId="8" xfId="0" applyFont="1" applyFill="1" applyBorder="1"/>
    <xf numFmtId="0" fontId="6" fillId="3" borderId="9" xfId="0" applyFont="1" applyFill="1" applyBorder="1"/>
    <xf numFmtId="0" fontId="6" fillId="0" borderId="2" xfId="0" applyFont="1" applyBorder="1"/>
    <xf numFmtId="0" fontId="6" fillId="4" borderId="3" xfId="0" applyFont="1" applyFill="1" applyBorder="1"/>
    <xf numFmtId="0" fontId="6" fillId="0" borderId="3" xfId="0" applyFont="1" applyBorder="1"/>
    <xf numFmtId="0" fontId="6" fillId="5" borderId="3" xfId="0" applyFont="1" applyFill="1" applyBorder="1"/>
    <xf numFmtId="0" fontId="6" fillId="0" borderId="3" xfId="0" applyFont="1" applyFill="1" applyBorder="1"/>
    <xf numFmtId="0" fontId="6" fillId="0" borderId="4" xfId="0" applyFont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0" borderId="3" xfId="0" quotePrefix="1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4" borderId="2" xfId="0" applyFont="1" applyFill="1" applyBorder="1"/>
    <xf numFmtId="0" fontId="9" fillId="2" borderId="16" xfId="0" applyFont="1" applyFill="1" applyBorder="1"/>
    <xf numFmtId="0" fontId="9" fillId="2" borderId="17" xfId="0" applyFont="1" applyFill="1" applyBorder="1"/>
    <xf numFmtId="0" fontId="9" fillId="2" borderId="18" xfId="0" applyFont="1" applyFill="1" applyBorder="1"/>
    <xf numFmtId="0" fontId="10" fillId="2" borderId="27" xfId="0" applyFont="1" applyFill="1" applyBorder="1"/>
    <xf numFmtId="0" fontId="11" fillId="0" borderId="0" xfId="0" applyFont="1"/>
    <xf numFmtId="0" fontId="6" fillId="0" borderId="14" xfId="0" applyFont="1" applyBorder="1" applyAlignment="1">
      <alignment wrapText="1"/>
    </xf>
    <xf numFmtId="0" fontId="6" fillId="0" borderId="1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54"/>
  <sheetViews>
    <sheetView tabSelected="1" topLeftCell="A7" workbookViewId="0">
      <pane xSplit="3" ySplit="1" topLeftCell="D8" activePane="bottomRight" state="frozen"/>
      <selection activeCell="A7" sqref="A7"/>
      <selection pane="topRight" activeCell="D7" sqref="D7"/>
      <selection pane="bottomLeft" activeCell="A8" sqref="A8"/>
      <selection pane="bottomRight" activeCell="I8" sqref="I8"/>
    </sheetView>
  </sheetViews>
  <sheetFormatPr defaultRowHeight="15" x14ac:dyDescent="0.25"/>
  <cols>
    <col min="1" max="1" width="5.28515625" customWidth="1"/>
    <col min="2" max="2" width="34.5703125" customWidth="1"/>
    <col min="3" max="3" width="33" customWidth="1"/>
    <col min="4" max="15" width="10.5703125" customWidth="1"/>
    <col min="16" max="16" width="3.5703125" customWidth="1"/>
    <col min="17" max="17" width="69.7109375" customWidth="1"/>
  </cols>
  <sheetData>
    <row r="1" spans="1:17" x14ac:dyDescent="0.25">
      <c r="A1" s="96"/>
      <c r="L1" t="s">
        <v>63</v>
      </c>
    </row>
    <row r="2" spans="1:17" x14ac:dyDescent="0.25">
      <c r="L2" t="s">
        <v>64</v>
      </c>
    </row>
    <row r="3" spans="1:17" x14ac:dyDescent="0.25">
      <c r="L3" t="s">
        <v>65</v>
      </c>
    </row>
    <row r="4" spans="1:17" x14ac:dyDescent="0.25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7" ht="15.75" thickBot="1" x14ac:dyDescent="0.3"/>
    <row r="6" spans="1:17" x14ac:dyDescent="0.25">
      <c r="A6" s="22" t="s">
        <v>28</v>
      </c>
      <c r="B6" s="44" t="s">
        <v>1</v>
      </c>
      <c r="C6" s="45"/>
      <c r="D6" s="40" t="s">
        <v>2</v>
      </c>
      <c r="E6" s="41"/>
      <c r="F6" s="41"/>
      <c r="G6" s="41"/>
      <c r="H6" s="41"/>
      <c r="I6" s="41"/>
      <c r="J6" s="41"/>
      <c r="K6" s="41"/>
      <c r="L6" s="41"/>
      <c r="M6" s="42"/>
      <c r="N6" s="42"/>
      <c r="O6" s="43"/>
      <c r="Q6" s="29" t="s">
        <v>29</v>
      </c>
    </row>
    <row r="7" spans="1:17" ht="39.75" thickBot="1" x14ac:dyDescent="0.3">
      <c r="A7" s="18"/>
      <c r="B7" s="46"/>
      <c r="C7" s="47"/>
      <c r="D7" s="58" t="s">
        <v>43</v>
      </c>
      <c r="E7" s="59" t="s">
        <v>44</v>
      </c>
      <c r="F7" s="59" t="s">
        <v>37</v>
      </c>
      <c r="G7" s="59" t="s">
        <v>55</v>
      </c>
      <c r="H7" s="59" t="s">
        <v>45</v>
      </c>
      <c r="I7" s="59" t="s">
        <v>71</v>
      </c>
      <c r="J7" s="59" t="s">
        <v>46</v>
      </c>
      <c r="K7" s="59" t="s">
        <v>47</v>
      </c>
      <c r="L7" s="59" t="s">
        <v>48</v>
      </c>
      <c r="M7" s="60" t="s">
        <v>38</v>
      </c>
      <c r="N7" s="61" t="s">
        <v>49</v>
      </c>
      <c r="O7" s="62" t="s">
        <v>50</v>
      </c>
      <c r="Q7" s="29"/>
    </row>
    <row r="8" spans="1:17" x14ac:dyDescent="0.25">
      <c r="A8" s="33">
        <v>1</v>
      </c>
      <c r="B8" s="24" t="s">
        <v>4</v>
      </c>
      <c r="C8" s="1" t="s">
        <v>7</v>
      </c>
      <c r="D8" s="63">
        <v>1250000</v>
      </c>
      <c r="E8" s="64">
        <v>1800000</v>
      </c>
      <c r="F8" s="64">
        <v>1949000</v>
      </c>
      <c r="G8" s="64">
        <v>3738400</v>
      </c>
      <c r="H8" s="64">
        <v>4200000</v>
      </c>
      <c r="I8" s="64">
        <v>4250000</v>
      </c>
      <c r="J8" s="64">
        <v>4300000</v>
      </c>
      <c r="K8" s="64">
        <v>4592500</v>
      </c>
      <c r="L8" s="64">
        <v>4600000</v>
      </c>
      <c r="M8" s="65">
        <v>4645000</v>
      </c>
      <c r="N8" s="65">
        <v>5600000</v>
      </c>
      <c r="O8" s="66">
        <v>5675000</v>
      </c>
      <c r="Q8" s="30" t="s">
        <v>30</v>
      </c>
    </row>
    <row r="9" spans="1:17" x14ac:dyDescent="0.25">
      <c r="A9" s="34"/>
      <c r="B9" s="20"/>
      <c r="C9" s="2" t="s">
        <v>8</v>
      </c>
      <c r="D9" s="67">
        <v>3</v>
      </c>
      <c r="E9" s="68">
        <v>30</v>
      </c>
      <c r="F9" s="68">
        <v>15</v>
      </c>
      <c r="G9" s="68">
        <f>-183/2</f>
        <v>-91.5</v>
      </c>
      <c r="H9" s="68">
        <v>30</v>
      </c>
      <c r="I9" s="68">
        <v>30</v>
      </c>
      <c r="J9" s="68">
        <v>15</v>
      </c>
      <c r="K9" s="68">
        <v>30</v>
      </c>
      <c r="L9" s="68">
        <v>15</v>
      </c>
      <c r="M9" s="69">
        <f>((-152*0.3)+(10*0.7))/2</f>
        <v>-19.3</v>
      </c>
      <c r="N9" s="70">
        <v>0</v>
      </c>
      <c r="O9" s="71">
        <v>30</v>
      </c>
      <c r="Q9" s="30"/>
    </row>
    <row r="10" spans="1:17" x14ac:dyDescent="0.25">
      <c r="A10" s="34"/>
      <c r="B10" s="20"/>
      <c r="C10" s="2" t="s">
        <v>9</v>
      </c>
      <c r="D10" s="67">
        <v>5.5</v>
      </c>
      <c r="E10" s="68">
        <v>5.5</v>
      </c>
      <c r="F10" s="68">
        <v>5.5</v>
      </c>
      <c r="G10" s="68">
        <v>5.5</v>
      </c>
      <c r="H10" s="68">
        <v>5.5</v>
      </c>
      <c r="I10" s="68">
        <v>5.5</v>
      </c>
      <c r="J10" s="68">
        <v>5.5</v>
      </c>
      <c r="K10" s="68">
        <v>5.5</v>
      </c>
      <c r="L10" s="68">
        <v>5.5</v>
      </c>
      <c r="M10" s="68">
        <v>5.5</v>
      </c>
      <c r="N10" s="68">
        <v>5.5</v>
      </c>
      <c r="O10" s="71">
        <v>5.5</v>
      </c>
      <c r="Q10" s="30"/>
    </row>
    <row r="11" spans="1:17" x14ac:dyDescent="0.25">
      <c r="A11" s="34"/>
      <c r="B11" s="20"/>
      <c r="C11" s="2" t="s">
        <v>10</v>
      </c>
      <c r="D11" s="72">
        <f>D8-(D8*D10/100/365*D9)</f>
        <v>1249434.9315068494</v>
      </c>
      <c r="E11" s="73">
        <f t="shared" ref="E11:L11" si="0">E8-(E8*E10/100/365*E9)</f>
        <v>1791863.01369863</v>
      </c>
      <c r="F11" s="73">
        <f t="shared" si="0"/>
        <v>1944594.7260273972</v>
      </c>
      <c r="G11" s="73">
        <f t="shared" si="0"/>
        <v>3789943.8301369864</v>
      </c>
      <c r="H11" s="73">
        <f t="shared" si="0"/>
        <v>4181013.6986301369</v>
      </c>
      <c r="I11" s="73">
        <f t="shared" si="0"/>
        <v>4230787.6712328764</v>
      </c>
      <c r="J11" s="73">
        <f t="shared" si="0"/>
        <v>4290280.8219178086</v>
      </c>
      <c r="K11" s="73">
        <f t="shared" si="0"/>
        <v>4571739.3835616438</v>
      </c>
      <c r="L11" s="73">
        <f t="shared" si="0"/>
        <v>4589602.7397260275</v>
      </c>
      <c r="M11" s="73">
        <f t="shared" ref="M11" si="1">M8-(M8*M10/100/365*M9)</f>
        <v>4658508.6780821914</v>
      </c>
      <c r="N11" s="73">
        <f t="shared" ref="N11" si="2">N8-(N8*N10/100/365*N9)</f>
        <v>5600000</v>
      </c>
      <c r="O11" s="74">
        <f t="shared" ref="O11" si="3">O8-(O8*O10/100/365*O9)</f>
        <v>5649345.8904109588</v>
      </c>
      <c r="Q11" s="30"/>
    </row>
    <row r="12" spans="1:17" x14ac:dyDescent="0.25">
      <c r="A12" s="34"/>
      <c r="B12" s="20"/>
      <c r="C12" s="2" t="s">
        <v>3</v>
      </c>
      <c r="D12" s="67">
        <v>100</v>
      </c>
      <c r="E12" s="68">
        <f>$D$11*100/E11</f>
        <v>69.728261700533622</v>
      </c>
      <c r="F12" s="68">
        <f t="shared" ref="F12:O12" si="4">$D$11*100/F11</f>
        <v>64.251687757032727</v>
      </c>
      <c r="G12" s="68">
        <f t="shared" si="4"/>
        <v>32.967109474593158</v>
      </c>
      <c r="H12" s="68">
        <f t="shared" si="4"/>
        <v>29.883540728800124</v>
      </c>
      <c r="I12" s="68">
        <f t="shared" si="4"/>
        <v>29.531969661402474</v>
      </c>
      <c r="J12" s="68">
        <f t="shared" si="4"/>
        <v>29.122451032199251</v>
      </c>
      <c r="K12" s="68">
        <f t="shared" si="4"/>
        <v>27.329530987688734</v>
      </c>
      <c r="L12" s="68">
        <f t="shared" si="4"/>
        <v>27.223160747490606</v>
      </c>
      <c r="M12" s="68">
        <f t="shared" si="4"/>
        <v>26.82049166046021</v>
      </c>
      <c r="N12" s="68">
        <f t="shared" si="4"/>
        <v>22.311338062622312</v>
      </c>
      <c r="O12" s="71">
        <f t="shared" si="4"/>
        <v>22.116453050389516</v>
      </c>
      <c r="Q12" s="30"/>
    </row>
    <row r="13" spans="1:17" ht="15.75" thickBot="1" x14ac:dyDescent="0.3">
      <c r="A13" s="35"/>
      <c r="B13" s="25"/>
      <c r="C13" s="4" t="s">
        <v>5</v>
      </c>
      <c r="D13" s="75">
        <f>D12*0.5</f>
        <v>50</v>
      </c>
      <c r="E13" s="76">
        <f t="shared" ref="E13:L13" si="5">E12*0.5</f>
        <v>34.864130850266811</v>
      </c>
      <c r="F13" s="76">
        <f t="shared" si="5"/>
        <v>32.125843878516363</v>
      </c>
      <c r="G13" s="76">
        <f t="shared" si="5"/>
        <v>16.483554737296579</v>
      </c>
      <c r="H13" s="76">
        <f t="shared" si="5"/>
        <v>14.941770364400062</v>
      </c>
      <c r="I13" s="76">
        <f t="shared" si="5"/>
        <v>14.765984830701237</v>
      </c>
      <c r="J13" s="76">
        <f t="shared" si="5"/>
        <v>14.561225516099626</v>
      </c>
      <c r="K13" s="76">
        <f t="shared" si="5"/>
        <v>13.664765493844367</v>
      </c>
      <c r="L13" s="76">
        <f t="shared" si="5"/>
        <v>13.611580373745303</v>
      </c>
      <c r="M13" s="76">
        <f t="shared" ref="M13" si="6">M12*0.5</f>
        <v>13.410245830230105</v>
      </c>
      <c r="N13" s="76">
        <f t="shared" ref="N13" si="7">N12*0.5</f>
        <v>11.155669031311156</v>
      </c>
      <c r="O13" s="77">
        <f t="shared" ref="O13" si="8">O12*0.5</f>
        <v>11.058226525194758</v>
      </c>
      <c r="Q13" s="30"/>
    </row>
    <row r="14" spans="1:17" x14ac:dyDescent="0.25">
      <c r="A14" s="38">
        <v>2</v>
      </c>
      <c r="B14" s="26" t="s">
        <v>6</v>
      </c>
      <c r="C14" s="3" t="s">
        <v>35</v>
      </c>
      <c r="D14" s="78">
        <v>142</v>
      </c>
      <c r="E14" s="79">
        <v>45</v>
      </c>
      <c r="F14" s="80">
        <v>106</v>
      </c>
      <c r="G14" s="81">
        <v>160</v>
      </c>
      <c r="H14" s="80">
        <v>140</v>
      </c>
      <c r="I14" s="80">
        <v>152</v>
      </c>
      <c r="J14" s="80">
        <v>122</v>
      </c>
      <c r="K14" s="80">
        <v>152</v>
      </c>
      <c r="L14" s="80">
        <v>152</v>
      </c>
      <c r="M14" s="80">
        <v>152</v>
      </c>
      <c r="N14" s="82">
        <v>160</v>
      </c>
      <c r="O14" s="83">
        <v>137</v>
      </c>
      <c r="Q14" s="31" t="s">
        <v>31</v>
      </c>
    </row>
    <row r="15" spans="1:17" x14ac:dyDescent="0.25">
      <c r="A15" s="34"/>
      <c r="B15" s="27"/>
      <c r="C15" s="2" t="s">
        <v>12</v>
      </c>
      <c r="D15" s="67">
        <f>(160-D14)*100/(160-45)</f>
        <v>15.652173913043478</v>
      </c>
      <c r="E15" s="69">
        <v>100</v>
      </c>
      <c r="F15" s="68">
        <f>(160-F14)*100/(160-45)</f>
        <v>46.956521739130437</v>
      </c>
      <c r="G15" s="68">
        <v>0</v>
      </c>
      <c r="H15" s="68">
        <f>(160-H14)*100/(160-45)</f>
        <v>17.391304347826086</v>
      </c>
      <c r="I15" s="68">
        <f t="shared" ref="I15:O15" si="9">(160-I14)*100/(160-45)</f>
        <v>6.9565217391304346</v>
      </c>
      <c r="J15" s="68">
        <f t="shared" si="9"/>
        <v>33.043478260869563</v>
      </c>
      <c r="K15" s="68">
        <f t="shared" si="9"/>
        <v>6.9565217391304346</v>
      </c>
      <c r="L15" s="68">
        <f t="shared" si="9"/>
        <v>6.9565217391304346</v>
      </c>
      <c r="M15" s="68">
        <f t="shared" si="9"/>
        <v>6.9565217391304346</v>
      </c>
      <c r="N15" s="68">
        <f t="shared" si="9"/>
        <v>0</v>
      </c>
      <c r="O15" s="71">
        <f t="shared" si="9"/>
        <v>20</v>
      </c>
      <c r="Q15" s="32"/>
    </row>
    <row r="16" spans="1:17" ht="15.75" thickBot="1" x14ac:dyDescent="0.3">
      <c r="A16" s="39"/>
      <c r="B16" s="28"/>
      <c r="C16" s="5" t="s">
        <v>11</v>
      </c>
      <c r="D16" s="84">
        <f>D15*0.15</f>
        <v>2.3478260869565215</v>
      </c>
      <c r="E16" s="85">
        <f t="shared" ref="E16:L16" si="10">E15*0.15</f>
        <v>15</v>
      </c>
      <c r="F16" s="85">
        <f t="shared" si="10"/>
        <v>7.0434782608695654</v>
      </c>
      <c r="G16" s="85">
        <f t="shared" si="10"/>
        <v>0</v>
      </c>
      <c r="H16" s="85">
        <f t="shared" si="10"/>
        <v>2.6086956521739126</v>
      </c>
      <c r="I16" s="85">
        <f t="shared" si="10"/>
        <v>1.0434782608695652</v>
      </c>
      <c r="J16" s="85">
        <f t="shared" si="10"/>
        <v>4.9565217391304346</v>
      </c>
      <c r="K16" s="85">
        <f t="shared" si="10"/>
        <v>1.0434782608695652</v>
      </c>
      <c r="L16" s="85">
        <f t="shared" si="10"/>
        <v>1.0434782608695652</v>
      </c>
      <c r="M16" s="85">
        <f t="shared" ref="M16" si="11">M15*0.15</f>
        <v>1.0434782608695652</v>
      </c>
      <c r="N16" s="85">
        <f t="shared" ref="N16" si="12">N15*0.15</f>
        <v>0</v>
      </c>
      <c r="O16" s="86">
        <f t="shared" ref="O16" si="13">O15*0.15</f>
        <v>3</v>
      </c>
      <c r="Q16" s="32"/>
    </row>
    <row r="17" spans="1:17" ht="15" customHeight="1" x14ac:dyDescent="0.25">
      <c r="A17" s="33">
        <v>3</v>
      </c>
      <c r="B17" s="36" t="s">
        <v>13</v>
      </c>
      <c r="C17" s="1" t="s">
        <v>14</v>
      </c>
      <c r="D17" s="78">
        <v>0</v>
      </c>
      <c r="E17" s="80">
        <v>5</v>
      </c>
      <c r="F17" s="80">
        <v>3</v>
      </c>
      <c r="G17" s="80">
        <v>3</v>
      </c>
      <c r="H17" s="80">
        <v>6</v>
      </c>
      <c r="I17" s="80">
        <v>4</v>
      </c>
      <c r="J17" s="80">
        <v>8</v>
      </c>
      <c r="K17" s="79">
        <v>12</v>
      </c>
      <c r="L17" s="80">
        <v>5.5</v>
      </c>
      <c r="M17" s="80">
        <v>5</v>
      </c>
      <c r="N17" s="82">
        <v>0</v>
      </c>
      <c r="O17" s="83">
        <v>3</v>
      </c>
      <c r="Q17" s="10" t="s">
        <v>42</v>
      </c>
    </row>
    <row r="18" spans="1:17" x14ac:dyDescent="0.25">
      <c r="A18" s="34"/>
      <c r="B18" s="27"/>
      <c r="C18" s="2" t="s">
        <v>3</v>
      </c>
      <c r="D18" s="67">
        <f>D17*100/12</f>
        <v>0</v>
      </c>
      <c r="E18" s="68">
        <f t="shared" ref="E18:L18" si="14">E17*100/12</f>
        <v>41.666666666666664</v>
      </c>
      <c r="F18" s="68">
        <f t="shared" si="14"/>
        <v>25</v>
      </c>
      <c r="G18" s="68">
        <f t="shared" si="14"/>
        <v>25</v>
      </c>
      <c r="H18" s="68">
        <f t="shared" si="14"/>
        <v>50</v>
      </c>
      <c r="I18" s="68">
        <f t="shared" si="14"/>
        <v>33.333333333333336</v>
      </c>
      <c r="J18" s="68">
        <f t="shared" si="14"/>
        <v>66.666666666666671</v>
      </c>
      <c r="K18" s="68">
        <v>100</v>
      </c>
      <c r="L18" s="68">
        <f t="shared" si="14"/>
        <v>45.833333333333336</v>
      </c>
      <c r="M18" s="68">
        <f t="shared" ref="M18" si="15">M17*100/12</f>
        <v>41.666666666666664</v>
      </c>
      <c r="N18" s="68">
        <f t="shared" ref="N18" si="16">N17*100/12</f>
        <v>0</v>
      </c>
      <c r="O18" s="71">
        <f t="shared" ref="O18" si="17">O17*100/12</f>
        <v>25</v>
      </c>
      <c r="Q18" s="11"/>
    </row>
    <row r="19" spans="1:17" ht="15.75" thickBot="1" x14ac:dyDescent="0.3">
      <c r="A19" s="35"/>
      <c r="B19" s="37"/>
      <c r="C19" s="4" t="s">
        <v>15</v>
      </c>
      <c r="D19" s="84">
        <f>D18*0.05</f>
        <v>0</v>
      </c>
      <c r="E19" s="85">
        <f t="shared" ref="E19:L19" si="18">E18*0.05</f>
        <v>2.0833333333333335</v>
      </c>
      <c r="F19" s="85">
        <f t="shared" si="18"/>
        <v>1.25</v>
      </c>
      <c r="G19" s="85">
        <f t="shared" si="18"/>
        <v>1.25</v>
      </c>
      <c r="H19" s="85">
        <f t="shared" si="18"/>
        <v>2.5</v>
      </c>
      <c r="I19" s="85">
        <f t="shared" si="18"/>
        <v>1.666666666666667</v>
      </c>
      <c r="J19" s="85">
        <f t="shared" si="18"/>
        <v>3.3333333333333339</v>
      </c>
      <c r="K19" s="85">
        <f t="shared" si="18"/>
        <v>5</v>
      </c>
      <c r="L19" s="85">
        <f t="shared" si="18"/>
        <v>2.291666666666667</v>
      </c>
      <c r="M19" s="85">
        <f t="shared" ref="M19" si="19">M18*0.05</f>
        <v>2.0833333333333335</v>
      </c>
      <c r="N19" s="85">
        <f t="shared" ref="N19" si="20">N18*0.05</f>
        <v>0</v>
      </c>
      <c r="O19" s="86">
        <f t="shared" ref="O19" si="21">O18*0.05</f>
        <v>1.25</v>
      </c>
      <c r="Q19" s="12"/>
    </row>
    <row r="20" spans="1:17" x14ac:dyDescent="0.25">
      <c r="A20" s="16">
        <v>4</v>
      </c>
      <c r="B20" s="26" t="s">
        <v>16</v>
      </c>
      <c r="C20" s="3" t="s">
        <v>17</v>
      </c>
      <c r="D20" s="78">
        <v>0</v>
      </c>
      <c r="E20" s="80">
        <v>5</v>
      </c>
      <c r="F20" s="80">
        <v>5</v>
      </c>
      <c r="G20" s="80">
        <v>15</v>
      </c>
      <c r="H20" s="79">
        <v>30</v>
      </c>
      <c r="I20" s="80">
        <v>5</v>
      </c>
      <c r="J20" s="80">
        <v>3</v>
      </c>
      <c r="K20" s="80">
        <v>9</v>
      </c>
      <c r="L20" s="80">
        <v>14</v>
      </c>
      <c r="M20" s="80">
        <v>20</v>
      </c>
      <c r="N20" s="82">
        <v>0</v>
      </c>
      <c r="O20" s="83">
        <v>9</v>
      </c>
      <c r="Q20" s="10" t="s">
        <v>41</v>
      </c>
    </row>
    <row r="21" spans="1:17" x14ac:dyDescent="0.25">
      <c r="A21" s="17"/>
      <c r="B21" s="27"/>
      <c r="C21" s="2" t="s">
        <v>3</v>
      </c>
      <c r="D21" s="67">
        <f>D20*100/30</f>
        <v>0</v>
      </c>
      <c r="E21" s="68">
        <f t="shared" ref="E21:I21" si="22">E20*100/30</f>
        <v>16.666666666666668</v>
      </c>
      <c r="F21" s="68">
        <f t="shared" si="22"/>
        <v>16.666666666666668</v>
      </c>
      <c r="G21" s="68">
        <f t="shared" si="22"/>
        <v>50</v>
      </c>
      <c r="H21" s="68">
        <v>100</v>
      </c>
      <c r="I21" s="68">
        <f t="shared" si="22"/>
        <v>16.666666666666668</v>
      </c>
      <c r="J21" s="68">
        <f t="shared" ref="J21" si="23">J20*100/30</f>
        <v>10</v>
      </c>
      <c r="K21" s="68">
        <f t="shared" ref="K21" si="24">K20*100/30</f>
        <v>30</v>
      </c>
      <c r="L21" s="68">
        <f t="shared" ref="L21" si="25">L20*100/30</f>
        <v>46.666666666666664</v>
      </c>
      <c r="M21" s="68">
        <f t="shared" ref="M21" si="26">M20*100/30</f>
        <v>66.666666666666671</v>
      </c>
      <c r="N21" s="68">
        <f t="shared" ref="N21" si="27">N20*100/30</f>
        <v>0</v>
      </c>
      <c r="O21" s="71">
        <f t="shared" ref="O21" si="28">O20*100/30</f>
        <v>30</v>
      </c>
      <c r="Q21" s="11"/>
    </row>
    <row r="22" spans="1:17" ht="15.75" thickBot="1" x14ac:dyDescent="0.3">
      <c r="A22" s="18"/>
      <c r="B22" s="28"/>
      <c r="C22" s="5" t="s">
        <v>15</v>
      </c>
      <c r="D22" s="84">
        <f>D21*0.05</f>
        <v>0</v>
      </c>
      <c r="E22" s="85">
        <f t="shared" ref="E22" si="29">E21*0.05</f>
        <v>0.83333333333333348</v>
      </c>
      <c r="F22" s="85">
        <f t="shared" ref="F22" si="30">F21*0.05</f>
        <v>0.83333333333333348</v>
      </c>
      <c r="G22" s="85">
        <f t="shared" ref="G22" si="31">G21*0.05</f>
        <v>2.5</v>
      </c>
      <c r="H22" s="85">
        <f t="shared" ref="H22" si="32">H21*0.05</f>
        <v>5</v>
      </c>
      <c r="I22" s="85">
        <f t="shared" ref="I22" si="33">I21*0.05</f>
        <v>0.83333333333333348</v>
      </c>
      <c r="J22" s="85">
        <f t="shared" ref="J22" si="34">J21*0.05</f>
        <v>0.5</v>
      </c>
      <c r="K22" s="85">
        <f t="shared" ref="K22" si="35">K21*0.05</f>
        <v>1.5</v>
      </c>
      <c r="L22" s="85">
        <f t="shared" ref="L22" si="36">L21*0.05</f>
        <v>2.3333333333333335</v>
      </c>
      <c r="M22" s="85">
        <f t="shared" ref="M22" si="37">M21*0.05</f>
        <v>3.3333333333333339</v>
      </c>
      <c r="N22" s="85">
        <f t="shared" ref="N22" si="38">N21*0.05</f>
        <v>0</v>
      </c>
      <c r="O22" s="86">
        <f t="shared" ref="O22" si="39">O21*0.05</f>
        <v>1.5</v>
      </c>
      <c r="Q22" s="12"/>
    </row>
    <row r="23" spans="1:17" x14ac:dyDescent="0.25">
      <c r="A23" s="22">
        <v>5</v>
      </c>
      <c r="B23" s="24" t="s">
        <v>18</v>
      </c>
      <c r="C23" s="1" t="s">
        <v>19</v>
      </c>
      <c r="D23" s="78">
        <f>(5+4.1+0+0+0+0+0+0+0+0)/10</f>
        <v>0.90999999999999992</v>
      </c>
      <c r="E23" s="87">
        <f>(4.7+3.3+4.2+3.7+3.3+2.5+4.6+4.5+5+4.8)/10</f>
        <v>4.0599999999999996</v>
      </c>
      <c r="F23" s="79">
        <v>4.7</v>
      </c>
      <c r="G23" s="80">
        <v>4</v>
      </c>
      <c r="H23" s="80">
        <f>(5+5+4.3+4.5+3.3+3.6+3.8+3.4+4.8+5+4+3.8+4.6+3.2+3+2+4.7+4.8+4.3+4.1+4.1+3.7+5+4.8+4.7+4.4+3.7+3.2)/30</f>
        <v>3.8266666666666667</v>
      </c>
      <c r="I23" s="80">
        <f>(4.4+4.7+4.6+4.4+5)/5</f>
        <v>4.62</v>
      </c>
      <c r="J23" s="80">
        <f>(4.8+3.8+0)/3</f>
        <v>2.8666666666666667</v>
      </c>
      <c r="K23" s="80">
        <f>(3.8+4.5+4.4+5+4.2+2.2+3.1+2.6+4)/9</f>
        <v>3.755555555555556</v>
      </c>
      <c r="L23" s="80">
        <f>(4.7+4.9+4.4+4.7+4.6+5+4.3+4.2+4.8+3.7+4.2+4+4.5+4.3+4.9+4.5+4.5+4.4)/18</f>
        <v>4.4777777777777779</v>
      </c>
      <c r="M23" s="80">
        <f>(3.5+4+4.6+4.5+4.2+4.1+4.8)/20</f>
        <v>1.4849999999999999</v>
      </c>
      <c r="N23" s="82">
        <v>0</v>
      </c>
      <c r="O23" s="83">
        <v>4.5</v>
      </c>
      <c r="Q23" s="13" t="s">
        <v>32</v>
      </c>
    </row>
    <row r="24" spans="1:17" x14ac:dyDescent="0.25">
      <c r="A24" s="17"/>
      <c r="B24" s="20"/>
      <c r="C24" s="2" t="s">
        <v>3</v>
      </c>
      <c r="D24" s="67">
        <f>D23*100/4.7</f>
        <v>19.361702127659569</v>
      </c>
      <c r="E24" s="68">
        <f>E23*100/4.7</f>
        <v>86.382978723404236</v>
      </c>
      <c r="F24" s="68">
        <v>100</v>
      </c>
      <c r="G24" s="68">
        <f>G23*100/4.7</f>
        <v>85.106382978723403</v>
      </c>
      <c r="H24" s="68">
        <f t="shared" ref="H24:O24" si="40">H23*100/4.7</f>
        <v>81.418439716312051</v>
      </c>
      <c r="I24" s="68">
        <f t="shared" si="40"/>
        <v>98.297872340425528</v>
      </c>
      <c r="J24" s="68">
        <f t="shared" si="40"/>
        <v>60.99290780141844</v>
      </c>
      <c r="K24" s="68">
        <f t="shared" si="40"/>
        <v>79.905437352245869</v>
      </c>
      <c r="L24" s="68">
        <f t="shared" si="40"/>
        <v>95.271867612293136</v>
      </c>
      <c r="M24" s="68">
        <f t="shared" si="40"/>
        <v>31.595744680851062</v>
      </c>
      <c r="N24" s="68">
        <f t="shared" si="40"/>
        <v>0</v>
      </c>
      <c r="O24" s="71">
        <f t="shared" si="40"/>
        <v>95.744680851063819</v>
      </c>
      <c r="Q24" s="14"/>
    </row>
    <row r="25" spans="1:17" ht="15.75" thickBot="1" x14ac:dyDescent="0.3">
      <c r="A25" s="23"/>
      <c r="B25" s="25"/>
      <c r="C25" s="4" t="s">
        <v>15</v>
      </c>
      <c r="D25" s="84">
        <f>D24*0.05</f>
        <v>0.96808510638297851</v>
      </c>
      <c r="E25" s="85">
        <f t="shared" ref="E25" si="41">E24*0.05</f>
        <v>4.3191489361702118</v>
      </c>
      <c r="F25" s="85">
        <f t="shared" ref="F25" si="42">F24*0.05</f>
        <v>5</v>
      </c>
      <c r="G25" s="85">
        <f t="shared" ref="G25" si="43">G24*0.05</f>
        <v>4.2553191489361701</v>
      </c>
      <c r="H25" s="85">
        <f t="shared" ref="H25" si="44">H24*0.05</f>
        <v>4.0709219858156027</v>
      </c>
      <c r="I25" s="85">
        <f t="shared" ref="I25" si="45">I24*0.05</f>
        <v>4.9148936170212769</v>
      </c>
      <c r="J25" s="85">
        <f t="shared" ref="J25" si="46">J24*0.05</f>
        <v>3.0496453900709222</v>
      </c>
      <c r="K25" s="85">
        <f t="shared" ref="K25" si="47">K24*0.05</f>
        <v>3.9952718676122938</v>
      </c>
      <c r="L25" s="85">
        <f t="shared" ref="L25" si="48">L24*0.05</f>
        <v>4.7635933806146573</v>
      </c>
      <c r="M25" s="85">
        <f t="shared" ref="M25" si="49">M24*0.05</f>
        <v>1.5797872340425532</v>
      </c>
      <c r="N25" s="85">
        <f t="shared" ref="N25" si="50">N24*0.05</f>
        <v>0</v>
      </c>
      <c r="O25" s="86">
        <f t="shared" ref="O25" si="51">O24*0.05</f>
        <v>4.787234042553191</v>
      </c>
      <c r="Q25" s="15"/>
    </row>
    <row r="26" spans="1:17" x14ac:dyDescent="0.25">
      <c r="A26" s="16">
        <v>6</v>
      </c>
      <c r="B26" s="19" t="s">
        <v>20</v>
      </c>
      <c r="C26" s="3" t="s">
        <v>21</v>
      </c>
      <c r="D26" s="78">
        <v>5</v>
      </c>
      <c r="E26" s="80">
        <v>10</v>
      </c>
      <c r="F26" s="80">
        <v>3</v>
      </c>
      <c r="G26" s="80">
        <v>4</v>
      </c>
      <c r="H26" s="80">
        <v>21</v>
      </c>
      <c r="I26" s="80">
        <v>20</v>
      </c>
      <c r="J26" s="80">
        <v>8</v>
      </c>
      <c r="K26" s="80">
        <v>15</v>
      </c>
      <c r="L26" s="79">
        <v>76</v>
      </c>
      <c r="M26" s="80">
        <v>50</v>
      </c>
      <c r="N26" s="82">
        <v>1</v>
      </c>
      <c r="O26" s="83">
        <v>13</v>
      </c>
      <c r="Q26" s="13" t="s">
        <v>32</v>
      </c>
    </row>
    <row r="27" spans="1:17" x14ac:dyDescent="0.25">
      <c r="A27" s="17"/>
      <c r="B27" s="20"/>
      <c r="C27" s="2" t="s">
        <v>3</v>
      </c>
      <c r="D27" s="67">
        <f>D26*100/76</f>
        <v>6.5789473684210522</v>
      </c>
      <c r="E27" s="68">
        <f t="shared" ref="E27:M27" si="52">E26*100/76</f>
        <v>13.157894736842104</v>
      </c>
      <c r="F27" s="68">
        <f t="shared" si="52"/>
        <v>3.9473684210526314</v>
      </c>
      <c r="G27" s="68">
        <f t="shared" si="52"/>
        <v>5.2631578947368425</v>
      </c>
      <c r="H27" s="68">
        <f t="shared" si="52"/>
        <v>27.631578947368421</v>
      </c>
      <c r="I27" s="68">
        <f t="shared" si="52"/>
        <v>26.315789473684209</v>
      </c>
      <c r="J27" s="68">
        <f t="shared" si="52"/>
        <v>10.526315789473685</v>
      </c>
      <c r="K27" s="68">
        <f t="shared" si="52"/>
        <v>19.736842105263158</v>
      </c>
      <c r="L27" s="68">
        <v>100</v>
      </c>
      <c r="M27" s="68">
        <f t="shared" si="52"/>
        <v>65.78947368421052</v>
      </c>
      <c r="N27" s="68">
        <f t="shared" ref="N27" si="53">N26*100/76</f>
        <v>1.3157894736842106</v>
      </c>
      <c r="O27" s="71">
        <f t="shared" ref="O27" si="54">O26*100/76</f>
        <v>17.105263157894736</v>
      </c>
      <c r="Q27" s="14"/>
    </row>
    <row r="28" spans="1:17" ht="15.75" thickBot="1" x14ac:dyDescent="0.3">
      <c r="A28" s="18"/>
      <c r="B28" s="21"/>
      <c r="C28" s="5" t="s">
        <v>15</v>
      </c>
      <c r="D28" s="84">
        <f>D27*0.05</f>
        <v>0.32894736842105265</v>
      </c>
      <c r="E28" s="85">
        <f t="shared" ref="E28" si="55">E27*0.05</f>
        <v>0.65789473684210531</v>
      </c>
      <c r="F28" s="85">
        <f t="shared" ref="F28" si="56">F27*0.05</f>
        <v>0.19736842105263158</v>
      </c>
      <c r="G28" s="85">
        <f t="shared" ref="G28" si="57">G27*0.05</f>
        <v>0.26315789473684215</v>
      </c>
      <c r="H28" s="85">
        <f t="shared" ref="H28" si="58">H27*0.05</f>
        <v>1.3815789473684212</v>
      </c>
      <c r="I28" s="85">
        <f t="shared" ref="I28" si="59">I27*0.05</f>
        <v>1.3157894736842106</v>
      </c>
      <c r="J28" s="85">
        <f t="shared" ref="J28" si="60">J27*0.05</f>
        <v>0.52631578947368429</v>
      </c>
      <c r="K28" s="85">
        <f t="shared" ref="K28" si="61">K27*0.05</f>
        <v>0.98684210526315796</v>
      </c>
      <c r="L28" s="85">
        <f t="shared" ref="L28" si="62">L27*0.05</f>
        <v>5</v>
      </c>
      <c r="M28" s="85">
        <f t="shared" ref="M28" si="63">M27*0.05</f>
        <v>3.2894736842105261</v>
      </c>
      <c r="N28" s="85">
        <f t="shared" ref="N28" si="64">N27*0.05</f>
        <v>6.5789473684210537E-2</v>
      </c>
      <c r="O28" s="86">
        <f t="shared" ref="O28" si="65">O27*0.05</f>
        <v>0.85526315789473684</v>
      </c>
      <c r="Q28" s="15"/>
    </row>
    <row r="29" spans="1:17" x14ac:dyDescent="0.25">
      <c r="A29" s="22">
        <v>7</v>
      </c>
      <c r="B29" s="24" t="s">
        <v>22</v>
      </c>
      <c r="C29" s="1" t="s">
        <v>23</v>
      </c>
      <c r="D29" s="78">
        <v>0</v>
      </c>
      <c r="E29" s="80">
        <v>6</v>
      </c>
      <c r="F29" s="80">
        <v>3</v>
      </c>
      <c r="G29" s="80">
        <v>5</v>
      </c>
      <c r="H29" s="80">
        <v>5</v>
      </c>
      <c r="I29" s="80">
        <v>6</v>
      </c>
      <c r="J29" s="80">
        <v>3</v>
      </c>
      <c r="K29" s="80">
        <v>6.36</v>
      </c>
      <c r="L29" s="79">
        <v>7.25</v>
      </c>
      <c r="M29" s="80">
        <v>3</v>
      </c>
      <c r="N29" s="82">
        <v>0</v>
      </c>
      <c r="O29" s="83">
        <v>3.5</v>
      </c>
      <c r="Q29" s="10" t="s">
        <v>41</v>
      </c>
    </row>
    <row r="30" spans="1:17" x14ac:dyDescent="0.25">
      <c r="A30" s="17"/>
      <c r="B30" s="20"/>
      <c r="C30" s="2" t="s">
        <v>3</v>
      </c>
      <c r="D30" s="67">
        <f>D29*100/7.25</f>
        <v>0</v>
      </c>
      <c r="E30" s="68">
        <f t="shared" ref="E30:M30" si="66">E29*100/7.25</f>
        <v>82.758620689655174</v>
      </c>
      <c r="F30" s="68">
        <f t="shared" si="66"/>
        <v>41.379310344827587</v>
      </c>
      <c r="G30" s="68">
        <f t="shared" si="66"/>
        <v>68.965517241379317</v>
      </c>
      <c r="H30" s="68">
        <f t="shared" si="66"/>
        <v>68.965517241379317</v>
      </c>
      <c r="I30" s="68">
        <f t="shared" si="66"/>
        <v>82.758620689655174</v>
      </c>
      <c r="J30" s="68">
        <f t="shared" si="66"/>
        <v>41.379310344827587</v>
      </c>
      <c r="K30" s="68">
        <f t="shared" si="66"/>
        <v>87.724137931034477</v>
      </c>
      <c r="L30" s="68">
        <v>100</v>
      </c>
      <c r="M30" s="68">
        <f t="shared" si="66"/>
        <v>41.379310344827587</v>
      </c>
      <c r="N30" s="68">
        <f t="shared" ref="N30" si="67">N29*100/7.25</f>
        <v>0</v>
      </c>
      <c r="O30" s="71">
        <f t="shared" ref="O30" si="68">O29*100/7.25</f>
        <v>48.275862068965516</v>
      </c>
      <c r="Q30" s="11"/>
    </row>
    <row r="31" spans="1:17" ht="15.75" thickBot="1" x14ac:dyDescent="0.3">
      <c r="A31" s="23"/>
      <c r="B31" s="25"/>
      <c r="C31" s="4" t="s">
        <v>15</v>
      </c>
      <c r="D31" s="75">
        <f>D30*0.05</f>
        <v>0</v>
      </c>
      <c r="E31" s="76">
        <f t="shared" ref="E31" si="69">E30*0.05</f>
        <v>4.1379310344827589</v>
      </c>
      <c r="F31" s="76">
        <f t="shared" ref="F31" si="70">F30*0.05</f>
        <v>2.0689655172413794</v>
      </c>
      <c r="G31" s="76">
        <f t="shared" ref="G31" si="71">G30*0.05</f>
        <v>3.4482758620689662</v>
      </c>
      <c r="H31" s="76">
        <f t="shared" ref="H31" si="72">H30*0.05</f>
        <v>3.4482758620689662</v>
      </c>
      <c r="I31" s="76">
        <f t="shared" ref="I31" si="73">I30*0.05</f>
        <v>4.1379310344827589</v>
      </c>
      <c r="J31" s="76">
        <f t="shared" ref="J31" si="74">J30*0.05</f>
        <v>2.0689655172413794</v>
      </c>
      <c r="K31" s="76">
        <f t="shared" ref="K31" si="75">K30*0.05</f>
        <v>4.386206896551724</v>
      </c>
      <c r="L31" s="76">
        <f t="shared" ref="L31" si="76">L30*0.05</f>
        <v>5</v>
      </c>
      <c r="M31" s="76">
        <f t="shared" ref="M31" si="77">M30*0.05</f>
        <v>2.0689655172413794</v>
      </c>
      <c r="N31" s="76">
        <f t="shared" ref="N31" si="78">N30*0.05</f>
        <v>0</v>
      </c>
      <c r="O31" s="77">
        <f t="shared" ref="O31" si="79">O30*0.05</f>
        <v>2.4137931034482758</v>
      </c>
      <c r="Q31" s="12"/>
    </row>
    <row r="32" spans="1:17" ht="45" x14ac:dyDescent="0.25">
      <c r="A32" s="16">
        <v>8</v>
      </c>
      <c r="B32" s="19" t="s">
        <v>39</v>
      </c>
      <c r="C32" s="3" t="s">
        <v>24</v>
      </c>
      <c r="D32" s="88" t="s">
        <v>34</v>
      </c>
      <c r="E32" s="97" t="s">
        <v>68</v>
      </c>
      <c r="F32" s="97" t="s">
        <v>69</v>
      </c>
      <c r="G32" s="89" t="s">
        <v>34</v>
      </c>
      <c r="H32" s="89" t="s">
        <v>34</v>
      </c>
      <c r="I32" s="89" t="s">
        <v>34</v>
      </c>
      <c r="J32" s="97" t="s">
        <v>68</v>
      </c>
      <c r="K32" s="97" t="s">
        <v>68</v>
      </c>
      <c r="L32" s="97" t="s">
        <v>69</v>
      </c>
      <c r="M32" s="89" t="s">
        <v>34</v>
      </c>
      <c r="N32" s="98" t="s">
        <v>70</v>
      </c>
      <c r="O32" s="90" t="s">
        <v>34</v>
      </c>
      <c r="Q32" s="13" t="s">
        <v>33</v>
      </c>
    </row>
    <row r="33" spans="1:17" x14ac:dyDescent="0.25">
      <c r="A33" s="17"/>
      <c r="B33" s="20"/>
      <c r="C33" s="2" t="s">
        <v>3</v>
      </c>
      <c r="D33" s="67">
        <v>100</v>
      </c>
      <c r="E33" s="68">
        <v>100</v>
      </c>
      <c r="F33" s="68">
        <v>100</v>
      </c>
      <c r="G33" s="68">
        <v>100</v>
      </c>
      <c r="H33" s="68">
        <v>100</v>
      </c>
      <c r="I33" s="68">
        <v>100</v>
      </c>
      <c r="J33" s="68">
        <v>100</v>
      </c>
      <c r="K33" s="68">
        <v>100</v>
      </c>
      <c r="L33" s="68">
        <v>100</v>
      </c>
      <c r="M33" s="68">
        <v>100</v>
      </c>
      <c r="N33" s="68">
        <v>0</v>
      </c>
      <c r="O33" s="71">
        <v>100</v>
      </c>
      <c r="Q33" s="14"/>
    </row>
    <row r="34" spans="1:17" ht="15.75" thickBot="1" x14ac:dyDescent="0.3">
      <c r="A34" s="18"/>
      <c r="B34" s="21"/>
      <c r="C34" s="5" t="s">
        <v>15</v>
      </c>
      <c r="D34" s="75">
        <f>D33*0.05</f>
        <v>5</v>
      </c>
      <c r="E34" s="76">
        <f>E33*0.05</f>
        <v>5</v>
      </c>
      <c r="F34" s="76">
        <f t="shared" ref="F34" si="80">F33*0.05</f>
        <v>5</v>
      </c>
      <c r="G34" s="76">
        <f t="shared" ref="G34" si="81">G33*0.05</f>
        <v>5</v>
      </c>
      <c r="H34" s="76">
        <f t="shared" ref="H34" si="82">H33*0.05</f>
        <v>5</v>
      </c>
      <c r="I34" s="76">
        <f t="shared" ref="I34" si="83">I33*0.05</f>
        <v>5</v>
      </c>
      <c r="J34" s="76">
        <f t="shared" ref="J34" si="84">J33*0.05</f>
        <v>5</v>
      </c>
      <c r="K34" s="76">
        <f t="shared" ref="K34" si="85">K33*0.05</f>
        <v>5</v>
      </c>
      <c r="L34" s="76">
        <f t="shared" ref="L34" si="86">L33*0.05</f>
        <v>5</v>
      </c>
      <c r="M34" s="76">
        <f t="shared" ref="M34" si="87">M33*0.05</f>
        <v>5</v>
      </c>
      <c r="N34" s="76">
        <f t="shared" ref="N34" si="88">N33*0.05</f>
        <v>0</v>
      </c>
      <c r="O34" s="77">
        <f t="shared" ref="O34" si="89">O33*0.05</f>
        <v>5</v>
      </c>
      <c r="Q34" s="15"/>
    </row>
    <row r="35" spans="1:17" x14ac:dyDescent="0.25">
      <c r="A35" s="22">
        <v>9</v>
      </c>
      <c r="B35" s="24" t="s">
        <v>25</v>
      </c>
      <c r="C35" s="1" t="s">
        <v>26</v>
      </c>
      <c r="D35" s="91">
        <v>10</v>
      </c>
      <c r="E35" s="79">
        <v>10</v>
      </c>
      <c r="F35" s="80">
        <v>14</v>
      </c>
      <c r="G35" s="80">
        <v>20</v>
      </c>
      <c r="H35" s="80">
        <v>25</v>
      </c>
      <c r="I35" s="80">
        <v>14</v>
      </c>
      <c r="J35" s="79">
        <v>10</v>
      </c>
      <c r="K35" s="80">
        <v>14</v>
      </c>
      <c r="L35" s="80">
        <v>21</v>
      </c>
      <c r="M35" s="80">
        <v>31</v>
      </c>
      <c r="N35" s="82">
        <v>160</v>
      </c>
      <c r="O35" s="83">
        <v>14</v>
      </c>
      <c r="Q35" s="13" t="s">
        <v>30</v>
      </c>
    </row>
    <row r="36" spans="1:17" x14ac:dyDescent="0.25">
      <c r="A36" s="17"/>
      <c r="B36" s="20"/>
      <c r="C36" s="2" t="s">
        <v>3</v>
      </c>
      <c r="D36" s="67">
        <v>100</v>
      </c>
      <c r="E36" s="68">
        <f>100*10/E35</f>
        <v>100</v>
      </c>
      <c r="F36" s="68">
        <f t="shared" ref="F36:O36" si="90">100*10/F35</f>
        <v>71.428571428571431</v>
      </c>
      <c r="G36" s="68">
        <f t="shared" si="90"/>
        <v>50</v>
      </c>
      <c r="H36" s="68">
        <f t="shared" si="90"/>
        <v>40</v>
      </c>
      <c r="I36" s="68">
        <f t="shared" si="90"/>
        <v>71.428571428571431</v>
      </c>
      <c r="J36" s="68">
        <f t="shared" si="90"/>
        <v>100</v>
      </c>
      <c r="K36" s="68">
        <f t="shared" si="90"/>
        <v>71.428571428571431</v>
      </c>
      <c r="L36" s="68">
        <f t="shared" si="90"/>
        <v>47.61904761904762</v>
      </c>
      <c r="M36" s="68">
        <f t="shared" si="90"/>
        <v>32.258064516129032</v>
      </c>
      <c r="N36" s="68">
        <f t="shared" si="90"/>
        <v>6.25</v>
      </c>
      <c r="O36" s="71">
        <f t="shared" si="90"/>
        <v>71.428571428571431</v>
      </c>
      <c r="Q36" s="14"/>
    </row>
    <row r="37" spans="1:17" ht="15.75" thickBot="1" x14ac:dyDescent="0.3">
      <c r="A37" s="23"/>
      <c r="B37" s="25"/>
      <c r="C37" s="4" t="s">
        <v>15</v>
      </c>
      <c r="D37" s="75">
        <f>D36*0.05</f>
        <v>5</v>
      </c>
      <c r="E37" s="76">
        <f>E36*0.05</f>
        <v>5</v>
      </c>
      <c r="F37" s="76">
        <f t="shared" ref="F37:O37" si="91">F36*0.05</f>
        <v>3.5714285714285716</v>
      </c>
      <c r="G37" s="76">
        <f t="shared" si="91"/>
        <v>2.5</v>
      </c>
      <c r="H37" s="76">
        <f t="shared" si="91"/>
        <v>2</v>
      </c>
      <c r="I37" s="76">
        <f t="shared" si="91"/>
        <v>3.5714285714285716</v>
      </c>
      <c r="J37" s="76">
        <f t="shared" si="91"/>
        <v>5</v>
      </c>
      <c r="K37" s="76">
        <f t="shared" si="91"/>
        <v>3.5714285714285716</v>
      </c>
      <c r="L37" s="76">
        <f t="shared" si="91"/>
        <v>2.3809523809523809</v>
      </c>
      <c r="M37" s="76">
        <f t="shared" si="91"/>
        <v>1.6129032258064517</v>
      </c>
      <c r="N37" s="76">
        <f t="shared" si="91"/>
        <v>0.3125</v>
      </c>
      <c r="O37" s="77">
        <f t="shared" si="91"/>
        <v>3.5714285714285716</v>
      </c>
      <c r="Q37" s="15"/>
    </row>
    <row r="38" spans="1:17" ht="16.5" thickBot="1" x14ac:dyDescent="0.3">
      <c r="A38" s="51" t="s">
        <v>27</v>
      </c>
      <c r="B38" s="52"/>
      <c r="C38" s="53"/>
      <c r="D38" s="92">
        <f>D13+D16+D19+D22+D25+D28+D31+D34+D37</f>
        <v>63.644858561760557</v>
      </c>
      <c r="E38" s="93">
        <f t="shared" ref="E38:L38" si="92">E13+E16+E19+E22+E25+E28+E31+E34+E37</f>
        <v>71.895772224428555</v>
      </c>
      <c r="F38" s="93">
        <f t="shared" si="92"/>
        <v>57.090417982441842</v>
      </c>
      <c r="G38" s="93">
        <f t="shared" si="92"/>
        <v>35.700307643038556</v>
      </c>
      <c r="H38" s="93">
        <f t="shared" si="92"/>
        <v>40.951242811826965</v>
      </c>
      <c r="I38" s="93">
        <f t="shared" si="92"/>
        <v>37.249505788187619</v>
      </c>
      <c r="J38" s="93">
        <f t="shared" si="92"/>
        <v>38.996007285349378</v>
      </c>
      <c r="K38" s="93">
        <f t="shared" si="92"/>
        <v>39.147993195569683</v>
      </c>
      <c r="L38" s="93">
        <f t="shared" si="92"/>
        <v>41.424604396181905</v>
      </c>
      <c r="M38" s="93">
        <f t="shared" ref="M38" si="93">M13+M16+M19+M22+M25+M28+M31+M34+M37</f>
        <v>33.421520419067249</v>
      </c>
      <c r="N38" s="93">
        <f t="shared" ref="N38" si="94">N13+N16+N19+N22+N25+N28+N31+N34+N37</f>
        <v>11.533958504995367</v>
      </c>
      <c r="O38" s="94">
        <f t="shared" ref="O38" si="95">O13+O16+O19+O22+O25+O28+O31+O34+O37</f>
        <v>33.435945400519529</v>
      </c>
      <c r="Q38" s="6" t="s">
        <v>36</v>
      </c>
    </row>
    <row r="39" spans="1:17" ht="15.75" thickBot="1" x14ac:dyDescent="0.3"/>
    <row r="40" spans="1:17" ht="19.5" thickBot="1" x14ac:dyDescent="0.35">
      <c r="A40" s="48" t="s">
        <v>40</v>
      </c>
      <c r="B40" s="49"/>
      <c r="C40" s="50"/>
      <c r="D40" s="7">
        <v>2</v>
      </c>
      <c r="E40" s="95">
        <v>1</v>
      </c>
      <c r="F40" s="8">
        <v>3</v>
      </c>
      <c r="G40" s="8">
        <v>9</v>
      </c>
      <c r="H40" s="8">
        <v>5</v>
      </c>
      <c r="I40" s="8">
        <v>8</v>
      </c>
      <c r="J40" s="8">
        <v>7</v>
      </c>
      <c r="K40" s="8">
        <v>6</v>
      </c>
      <c r="L40" s="8">
        <v>4</v>
      </c>
      <c r="M40" s="8">
        <v>11</v>
      </c>
      <c r="N40" s="8">
        <v>12</v>
      </c>
      <c r="O40" s="9">
        <v>10</v>
      </c>
    </row>
    <row r="42" spans="1:17" ht="15.75" x14ac:dyDescent="0.25">
      <c r="A42" s="54" t="s">
        <v>51</v>
      </c>
    </row>
    <row r="44" spans="1:17" x14ac:dyDescent="0.25">
      <c r="A44" s="57" t="s">
        <v>52</v>
      </c>
      <c r="B44" s="57" t="s">
        <v>53</v>
      </c>
    </row>
    <row r="45" spans="1:17" ht="52.5" customHeight="1" x14ac:dyDescent="0.25">
      <c r="B45" s="56" t="s">
        <v>54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7" x14ac:dyDescent="0.25">
      <c r="A46" s="57" t="s">
        <v>56</v>
      </c>
      <c r="B46" s="57" t="s">
        <v>55</v>
      </c>
    </row>
    <row r="47" spans="1:17" ht="37.5" customHeight="1" x14ac:dyDescent="0.25">
      <c r="B47" s="56" t="s">
        <v>57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</row>
    <row r="48" spans="1:17" x14ac:dyDescent="0.25">
      <c r="A48" s="57" t="s">
        <v>58</v>
      </c>
      <c r="B48" s="57" t="s">
        <v>59</v>
      </c>
    </row>
    <row r="49" spans="1:15" ht="21" customHeight="1" x14ac:dyDescent="0.25">
      <c r="B49" s="56" t="s">
        <v>60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</row>
    <row r="50" spans="1:15" x14ac:dyDescent="0.25">
      <c r="A50" s="57" t="s">
        <v>61</v>
      </c>
      <c r="B50" s="57" t="s">
        <v>49</v>
      </c>
    </row>
    <row r="51" spans="1:15" ht="43.5" customHeight="1" x14ac:dyDescent="0.25">
      <c r="B51" s="56" t="s">
        <v>62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4" spans="1:15" x14ac:dyDescent="0.25">
      <c r="B54" t="s">
        <v>66</v>
      </c>
      <c r="E54" t="s">
        <v>67</v>
      </c>
    </row>
  </sheetData>
  <mergeCells count="38">
    <mergeCell ref="B45:O45"/>
    <mergeCell ref="B47:O47"/>
    <mergeCell ref="B49:O49"/>
    <mergeCell ref="B51:O51"/>
    <mergeCell ref="A4:O4"/>
    <mergeCell ref="A40:C40"/>
    <mergeCell ref="Q26:Q28"/>
    <mergeCell ref="Q29:Q31"/>
    <mergeCell ref="Q32:Q34"/>
    <mergeCell ref="Q35:Q37"/>
    <mergeCell ref="B35:B37"/>
    <mergeCell ref="A35:A37"/>
    <mergeCell ref="A38:C38"/>
    <mergeCell ref="A32:A34"/>
    <mergeCell ref="B32:B34"/>
    <mergeCell ref="A6:A7"/>
    <mergeCell ref="Q6:Q7"/>
    <mergeCell ref="Q8:Q13"/>
    <mergeCell ref="Q14:Q16"/>
    <mergeCell ref="Q17:Q19"/>
    <mergeCell ref="A17:A19"/>
    <mergeCell ref="B17:B19"/>
    <mergeCell ref="A14:A16"/>
    <mergeCell ref="B14:B16"/>
    <mergeCell ref="D6:O6"/>
    <mergeCell ref="B8:B13"/>
    <mergeCell ref="A8:A13"/>
    <mergeCell ref="B6:C7"/>
    <mergeCell ref="Q20:Q22"/>
    <mergeCell ref="Q23:Q25"/>
    <mergeCell ref="A26:A28"/>
    <mergeCell ref="B26:B28"/>
    <mergeCell ref="A29:A31"/>
    <mergeCell ref="B29:B31"/>
    <mergeCell ref="A20:A22"/>
    <mergeCell ref="B20:B22"/>
    <mergeCell ref="B23:B25"/>
    <mergeCell ref="A23:A25"/>
  </mergeCells>
  <pageMargins left="0" right="0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к Протоколу (лист А3)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2021-06-21T07:56:34Z</cp:lastPrinted>
  <dcterms:created xsi:type="dcterms:W3CDTF">2021-06-10T07:32:09Z</dcterms:created>
  <dcterms:modified xsi:type="dcterms:W3CDTF">2021-06-21T08:46:30Z</dcterms:modified>
</cp:coreProperties>
</file>